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<sst xmlns="http://schemas.openxmlformats.org/spreadsheetml/2006/main" count="81" uniqueCount="70">
  <si>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</si>
  <si>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</si>
  <si>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</si>
  <si>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</si>
  <si>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</si>
  <si>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</si>
  <si>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</si>
  <si>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</si>
  <si>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</si>
  <si>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</si>
  <si>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</si>
  <si>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</si>
  <si>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</si>
  <si>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</si>
  <si>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</si>
  <si>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</si>
  <si>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</si>
  <si>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</si>
  <si>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</si>
  <si>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</si>
  <si>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</si>
  <si>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</si>
  <si>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</si>
  <si>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</si>
  <si>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</si>
  <si>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</si>
  <si>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</si>
  <si>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</si>
  <si>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</si>
  <si>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</si>
  <si>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</si>
  <si>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</si>
  <si>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</si>
  <si>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</si>
  <si>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</si>
  <si>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</si>
  <si>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</si>
  <si>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</si>
  <si>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</si>
  <si>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</si>
  <si>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</si>
  <si>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</si>
  <si>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</si>
  <si>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</si>
  <si>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</si>
  <si>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</si>
  <si>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</si>
  <si>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</si>
  <si>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</si>
  <si>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</si>
  <si>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</si>
  <si>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</si>
  <si>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</si>
  <si>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</si>
  <si>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</si>
  <si>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</si>
  <si>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</si>
  <si>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</si>
  <si>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</si>
  <si>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</si>
  <si>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</si>
  <si>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</si>
  <si>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</si>
  <si>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</si>
  <si>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</si>
  <si>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</si>
  <si>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</si>
  <si>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noviembre de 2020 fue de 123,907 Bpd; superior en 1,904 Bpd comparado al mes anterior.   </t>
    </r>
  </si>
  <si>
    <t>PRODUCCIÓN FISCALIZADA PROMEDIO DE HIDROCARBUROS
AL 30 DE NOVIEMBRE DEL 2020</t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</si>
  <si>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moviembre 2020 fue de 1,491 MMPCD; superior en 236 MMPCD comparado al mes anterior.</t>
    </r>
  </si>
</sst>
</file>

<file path=xl/styles.xml><?xml version="1.0" encoding="utf-8"?>
<styleSheet xmlns="http://schemas.openxmlformats.org/spreadsheetml/2006/main">
  <numFmts count="5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-* #,##0\ _S_/_._-;\-* #,##0\ _S_/_._-;_-* &quot;-&quot;\ _S_/_._-;_-@_-"/>
    <numFmt numFmtId="199" formatCode="_-* #,##0.00\ _S_/_._-;\-* #,##0.00\ _S_/_._-;_-* &quot;-&quot;??\ _S_/_._-;_-@_-"/>
    <numFmt numFmtId="200" formatCode="0.000"/>
    <numFmt numFmtId="201" formatCode="0.0"/>
    <numFmt numFmtId="202" formatCode="#,##0.0"/>
    <numFmt numFmtId="203" formatCode="_-* #,##0\ _S_/_._-;\-* #,##0\ _S_/_._-;_-* &quot;-&quot;??\ _S_/_._-;_-@_-"/>
    <numFmt numFmtId="204" formatCode="0.0000"/>
    <numFmt numFmtId="205" formatCode="#.##0\.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4.6"/>
      <color indexed="8"/>
      <name val="Calibri"/>
      <family val="0"/>
    </font>
    <font>
      <b/>
      <sz val="10"/>
      <color indexed="8"/>
      <name val="Calibri"/>
      <family val="0"/>
    </font>
    <font>
      <sz val="4.6"/>
      <color indexed="60"/>
      <name val="Calibri"/>
      <family val="0"/>
    </font>
    <font>
      <sz val="4.6"/>
      <color indexed="56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6"/>
      <color indexed="62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0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5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9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203" fontId="0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9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200" fontId="0" fillId="37" borderId="0" xfId="0" applyNumberFormat="1" applyFill="1" applyAlignment="1">
      <alignment/>
    </xf>
    <xf numFmtId="3" fontId="0" fillId="37" borderId="10" xfId="5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201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202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73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73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73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73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2" fillId="37" borderId="0" xfId="0" applyFont="1" applyFill="1" applyAlignment="1">
      <alignment/>
    </xf>
    <xf numFmtId="0" fontId="43" fillId="37" borderId="0" xfId="0" applyFont="1" applyFill="1" applyAlignment="1">
      <alignment/>
    </xf>
    <xf numFmtId="0" fontId="44" fillId="37" borderId="0" xfId="0" applyFont="1" applyFill="1" applyAlignment="1">
      <alignment/>
    </xf>
    <xf numFmtId="1" fontId="42" fillId="37" borderId="0" xfId="0" applyNumberFormat="1" applyFont="1" applyFill="1" applyAlignment="1">
      <alignment/>
    </xf>
    <xf numFmtId="0" fontId="45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0" fontId="42" fillId="37" borderId="0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/>
    </xf>
    <xf numFmtId="0" fontId="46" fillId="37" borderId="0" xfId="0" applyFont="1" applyFill="1" applyAlignment="1">
      <alignment/>
    </xf>
    <xf numFmtId="0" fontId="42" fillId="37" borderId="0" xfId="0" applyFont="1" applyFill="1" applyBorder="1" applyAlignment="1">
      <alignment/>
    </xf>
    <xf numFmtId="3" fontId="42" fillId="37" borderId="0" xfId="0" applyNumberFormat="1" applyFont="1" applyFill="1" applyAlignment="1">
      <alignment/>
    </xf>
    <xf numFmtId="3" fontId="46" fillId="37" borderId="0" xfId="0" applyNumberFormat="1" applyFont="1" applyFill="1" applyAlignment="1">
      <alignment/>
    </xf>
    <xf numFmtId="201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203" fontId="0" fillId="13" borderId="10" xfId="49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203" fontId="0" fillId="11" borderId="10" xfId="49" applyNumberFormat="1" applyFont="1" applyFill="1" applyBorder="1" applyAlignment="1">
      <alignment/>
    </xf>
    <xf numFmtId="0" fontId="0" fillId="11" borderId="0" xfId="0" applyFill="1" applyAlignment="1">
      <alignment/>
    </xf>
    <xf numFmtId="3" fontId="0" fillId="11" borderId="12" xfId="0" applyNumberFormat="1" applyFill="1" applyBorder="1" applyAlignment="1">
      <alignment horizontal="center"/>
    </xf>
    <xf numFmtId="2" fontId="0" fillId="36" borderId="0" xfId="0" applyNumberFormat="1" applyFill="1" applyAlignment="1">
      <alignment horizontal="center"/>
    </xf>
    <xf numFmtId="17" fontId="2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3" fontId="0" fillId="36" borderId="0" xfId="0" applyNumberFormat="1" applyFill="1" applyAlignment="1">
      <alignment/>
    </xf>
    <xf numFmtId="203" fontId="0" fillId="36" borderId="10" xfId="49" applyNumberFormat="1" applyFont="1" applyFill="1" applyBorder="1" applyAlignment="1">
      <alignment/>
    </xf>
    <xf numFmtId="3" fontId="0" fillId="11" borderId="11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4" fillId="41" borderId="0" xfId="0" applyFont="1" applyFill="1" applyBorder="1" applyAlignment="1">
      <alignment horizontal="justify" wrapText="1"/>
    </xf>
    <xf numFmtId="0" fontId="42" fillId="41" borderId="0" xfId="0" applyFont="1" applyFill="1" applyBorder="1" applyAlignment="1">
      <alignment horizontal="justify" vertical="center" wrapText="1"/>
    </xf>
    <xf numFmtId="0" fontId="42" fillId="41" borderId="0" xfId="0" applyFont="1" applyFill="1" applyBorder="1" applyAlignment="1">
      <alignment horizontal="left" wrapText="1"/>
    </xf>
    <xf numFmtId="0" fontId="48" fillId="41" borderId="0" xfId="0" applyFont="1" applyFill="1" applyBorder="1" applyAlignment="1">
      <alignment horizontal="left" wrapText="1"/>
    </xf>
    <xf numFmtId="0" fontId="49" fillId="37" borderId="0" xfId="0" applyFont="1" applyFill="1" applyAlignment="1">
      <alignment horizontal="center" vertical="center" wrapText="1"/>
    </xf>
    <xf numFmtId="49" fontId="75" fillId="37" borderId="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7303996"/>
        <c:axId val="65735965"/>
      </c:scatterChart>
      <c:valAx>
        <c:axId val="73039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965"/>
        <c:crosses val="autoZero"/>
        <c:crossBetween val="midCat"/>
        <c:dispUnits/>
      </c:valAx>
      <c:valAx>
        <c:axId val="65735965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303996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4752774"/>
        <c:axId val="23012919"/>
      </c:scatterChart>
      <c:valAx>
        <c:axId val="547527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012919"/>
        <c:crosses val="autoZero"/>
        <c:crossBetween val="midCat"/>
        <c:dispUnits/>
      </c:valAx>
      <c:valAx>
        <c:axId val="23012919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774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9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24075"/>
          <c:w val="0.92025"/>
          <c:h val="0.7122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123,907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(no)'!$C$175:$C$330</c:f>
              <c:numCache>
                <c:ptCount val="156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  <c:pt idx="140">
                  <c:v>2019.6666564000152</c:v>
                </c:pt>
                <c:pt idx="141">
                  <c:v>2019.7499897000152</c:v>
                </c:pt>
                <c:pt idx="142">
                  <c:v>2019.8333230000153</c:v>
                </c:pt>
                <c:pt idx="143">
                  <c:v>2019.9166563000153</c:v>
                </c:pt>
                <c:pt idx="144">
                  <c:v>2019.9999896000154</c:v>
                </c:pt>
                <c:pt idx="145">
                  <c:v>2020.0833229000154</c:v>
                </c:pt>
                <c:pt idx="146">
                  <c:v>2020.1666562000155</c:v>
                </c:pt>
                <c:pt idx="147">
                  <c:v>2020.2499895000155</c:v>
                </c:pt>
                <c:pt idx="148">
                  <c:v>2020.3333228000156</c:v>
                </c:pt>
                <c:pt idx="149">
                  <c:v>2020.4166561000156</c:v>
                </c:pt>
                <c:pt idx="150">
                  <c:v>2020.4999894000157</c:v>
                </c:pt>
                <c:pt idx="151">
                  <c:v>2020.5833227000157</c:v>
                </c:pt>
                <c:pt idx="152">
                  <c:v>2020.6666560000158</c:v>
                </c:pt>
                <c:pt idx="153">
                  <c:v>2020.7499893000158</c:v>
                </c:pt>
                <c:pt idx="154">
                  <c:v>2020.833322600016</c:v>
                </c:pt>
                <c:pt idx="155">
                  <c:v>2020.916655900016</c:v>
                </c:pt>
              </c:numCache>
            </c:numRef>
          </c:xVal>
          <c:yVal>
            <c:numRef>
              <c:f>'ESTRUCTURA oil (no)'!$AI$175:$AI$330</c:f>
              <c:numCache>
                <c:ptCount val="156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  <c:pt idx="140">
                  <c:v>142623</c:v>
                </c:pt>
                <c:pt idx="141">
                  <c:v>149391</c:v>
                </c:pt>
                <c:pt idx="142">
                  <c:v>138069</c:v>
                </c:pt>
                <c:pt idx="143">
                  <c:v>152710</c:v>
                </c:pt>
                <c:pt idx="144">
                  <c:v>145463</c:v>
                </c:pt>
                <c:pt idx="145">
                  <c:v>146235</c:v>
                </c:pt>
                <c:pt idx="146">
                  <c:v>151488</c:v>
                </c:pt>
                <c:pt idx="147">
                  <c:v>122861</c:v>
                </c:pt>
                <c:pt idx="148">
                  <c:v>119608</c:v>
                </c:pt>
                <c:pt idx="149">
                  <c:v>110530</c:v>
                </c:pt>
                <c:pt idx="150">
                  <c:v>114077</c:v>
                </c:pt>
                <c:pt idx="151">
                  <c:v>123381</c:v>
                </c:pt>
                <c:pt idx="152">
                  <c:v>119820</c:v>
                </c:pt>
                <c:pt idx="153">
                  <c:v>120007</c:v>
                </c:pt>
                <c:pt idx="154">
                  <c:v>122003</c:v>
                </c:pt>
                <c:pt idx="155">
                  <c:v>123907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1"/>
              <c:delete val="1"/>
            </c:dLbl>
            <c:dLbl>
              <c:idx val="3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(no)'!$C$19:$C$330</c:f>
              <c:numCache>
                <c:ptCount val="312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  <c:pt idx="296">
                  <c:v>2019.6666564000152</c:v>
                </c:pt>
                <c:pt idx="297">
                  <c:v>2019.7499897000152</c:v>
                </c:pt>
                <c:pt idx="298">
                  <c:v>2019.8333230000153</c:v>
                </c:pt>
                <c:pt idx="299">
                  <c:v>2019.9166563000153</c:v>
                </c:pt>
                <c:pt idx="300">
                  <c:v>2019.9999896000154</c:v>
                </c:pt>
                <c:pt idx="301">
                  <c:v>2020.0833229000154</c:v>
                </c:pt>
                <c:pt idx="302">
                  <c:v>2020.1666562000155</c:v>
                </c:pt>
                <c:pt idx="303">
                  <c:v>2020.2499895000155</c:v>
                </c:pt>
                <c:pt idx="304">
                  <c:v>2020.3333228000156</c:v>
                </c:pt>
                <c:pt idx="305">
                  <c:v>2020.4166561000156</c:v>
                </c:pt>
                <c:pt idx="306">
                  <c:v>2020.4999894000157</c:v>
                </c:pt>
                <c:pt idx="307">
                  <c:v>2020.5833227000157</c:v>
                </c:pt>
                <c:pt idx="308">
                  <c:v>2020.6666560000158</c:v>
                </c:pt>
                <c:pt idx="309">
                  <c:v>2020.7499893000158</c:v>
                </c:pt>
                <c:pt idx="310">
                  <c:v>2020.833322600016</c:v>
                </c:pt>
                <c:pt idx="311">
                  <c:v>2020.916655900016</c:v>
                </c:pt>
              </c:numCache>
            </c:numRef>
          </c:xVal>
          <c:yVal>
            <c:numRef>
              <c:f>'ESTRUCTURA oil (no)'!$AJ$19:$AJ$330</c:f>
              <c:numCache>
                <c:ptCount val="312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139721</c:v>
                </c:pt>
                <c:pt idx="290">
                  <c:v>139721</c:v>
                </c:pt>
                <c:pt idx="291">
                  <c:v>139721</c:v>
                </c:pt>
                <c:pt idx="292">
                  <c:v>139721</c:v>
                </c:pt>
                <c:pt idx="293">
                  <c:v>139721</c:v>
                </c:pt>
                <c:pt idx="294">
                  <c:v>139721</c:v>
                </c:pt>
                <c:pt idx="295">
                  <c:v>139721</c:v>
                </c:pt>
                <c:pt idx="296">
                  <c:v>139721</c:v>
                </c:pt>
                <c:pt idx="297">
                  <c:v>139721</c:v>
                </c:pt>
                <c:pt idx="298">
                  <c:v>139721</c:v>
                </c:pt>
                <c:pt idx="299">
                  <c:v>139721</c:v>
                </c:pt>
                <c:pt idx="300">
                  <c:v>139721</c:v>
                </c:pt>
                <c:pt idx="301">
                  <c:v>124809</c:v>
                </c:pt>
                <c:pt idx="302">
                  <c:v>124809</c:v>
                </c:pt>
                <c:pt idx="303">
                  <c:v>124809</c:v>
                </c:pt>
                <c:pt idx="304">
                  <c:v>124809</c:v>
                </c:pt>
                <c:pt idx="305">
                  <c:v>124809</c:v>
                </c:pt>
                <c:pt idx="306">
                  <c:v>124809</c:v>
                </c:pt>
                <c:pt idx="307">
                  <c:v>124809</c:v>
                </c:pt>
                <c:pt idx="308">
                  <c:v>124809</c:v>
                </c:pt>
                <c:pt idx="309">
                  <c:v>124809</c:v>
                </c:pt>
                <c:pt idx="310">
                  <c:v>124809</c:v>
                </c:pt>
                <c:pt idx="311">
                  <c:v>124809</c:v>
                </c:pt>
              </c:numCache>
            </c:numRef>
          </c:yVal>
          <c:smooth val="0"/>
        </c:ser>
        <c:axId val="5789680"/>
        <c:axId val="52107121"/>
      </c:scatterChart>
      <c:valAx>
        <c:axId val="5789680"/>
        <c:scaling>
          <c:orientation val="minMax"/>
          <c:max val="2021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107121"/>
        <c:crosses val="autoZero"/>
        <c:crossBetween val="midCat"/>
        <c:dispUnits/>
        <c:majorUnit val="1"/>
        <c:minorUnit val="0.1"/>
      </c:valAx>
      <c:valAx>
        <c:axId val="52107121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89680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45"/>
          <c:y val="0.94475"/>
          <c:w val="0.793"/>
          <c:h val="0.0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4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4875"/>
          <c:w val="0.933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5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1,491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(no)'!$B$167:$B$327</c:f>
              <c:numCache>
                <c:ptCount val="161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  <c:pt idx="158">
                  <c:v>2020.749989300014</c:v>
                </c:pt>
                <c:pt idx="159">
                  <c:v>2020.833322600014</c:v>
                </c:pt>
                <c:pt idx="160">
                  <c:v>2020.9166559000141</c:v>
                </c:pt>
              </c:numCache>
            </c:numRef>
          </c:xVal>
          <c:yVal>
            <c:numRef>
              <c:f>'ESTRUCTURA gas (no)'!$N$167:$N$327</c:f>
              <c:numCache>
                <c:ptCount val="161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  <c:pt idx="145">
                  <c:v>1509143.8179</c:v>
                </c:pt>
                <c:pt idx="146">
                  <c:v>1555960.2551</c:v>
                </c:pt>
                <c:pt idx="147">
                  <c:v>1419451.6309</c:v>
                </c:pt>
                <c:pt idx="148">
                  <c:v>1418369.9405</c:v>
                </c:pt>
                <c:pt idx="149">
                  <c:v>1243898</c:v>
                </c:pt>
                <c:pt idx="150">
                  <c:v>1211720.6916</c:v>
                </c:pt>
                <c:pt idx="151">
                  <c:v>1249771.6869</c:v>
                </c:pt>
                <c:pt idx="152">
                  <c:v>903310.04</c:v>
                </c:pt>
                <c:pt idx="153">
                  <c:v>790178.8298</c:v>
                </c:pt>
                <c:pt idx="154">
                  <c:v>845915.2128</c:v>
                </c:pt>
                <c:pt idx="155">
                  <c:v>832774.5008</c:v>
                </c:pt>
                <c:pt idx="156">
                  <c:v>1346101.4935</c:v>
                </c:pt>
                <c:pt idx="157">
                  <c:v>1298655.154</c:v>
                </c:pt>
                <c:pt idx="158">
                  <c:v>1342976.2357</c:v>
                </c:pt>
                <c:pt idx="159">
                  <c:v>1254828</c:v>
                </c:pt>
                <c:pt idx="160">
                  <c:v>1490754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50"/>
              <c:delete val="1"/>
            </c:dLbl>
            <c:dLbl>
              <c:idx val="1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(no)'!$B$167:$B$327</c:f>
              <c:numCache>
                <c:ptCount val="161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  <c:pt idx="145">
                  <c:v>2019.6666564000134</c:v>
                </c:pt>
                <c:pt idx="146">
                  <c:v>2019.7499897000134</c:v>
                </c:pt>
                <c:pt idx="147">
                  <c:v>2019.8333230000135</c:v>
                </c:pt>
                <c:pt idx="148">
                  <c:v>2019.9166563000135</c:v>
                </c:pt>
                <c:pt idx="149">
                  <c:v>2019.9999896000136</c:v>
                </c:pt>
                <c:pt idx="150">
                  <c:v>2020.0833229000136</c:v>
                </c:pt>
                <c:pt idx="151">
                  <c:v>2020.1666562000137</c:v>
                </c:pt>
                <c:pt idx="152">
                  <c:v>2020.2499895000137</c:v>
                </c:pt>
                <c:pt idx="153">
                  <c:v>2020.3333228000138</c:v>
                </c:pt>
                <c:pt idx="154">
                  <c:v>2020.4166561000138</c:v>
                </c:pt>
                <c:pt idx="155">
                  <c:v>2020.4999894000139</c:v>
                </c:pt>
                <c:pt idx="156">
                  <c:v>2020.583322700014</c:v>
                </c:pt>
                <c:pt idx="157">
                  <c:v>2020.666656000014</c:v>
                </c:pt>
                <c:pt idx="158">
                  <c:v>2020.749989300014</c:v>
                </c:pt>
                <c:pt idx="159">
                  <c:v>2020.833322600014</c:v>
                </c:pt>
                <c:pt idx="160">
                  <c:v>2020.9166559000141</c:v>
                </c:pt>
              </c:numCache>
            </c:numRef>
          </c:xVal>
          <c:yVal>
            <c:numRef>
              <c:f>'ESTRUCTURA gas (no)'!$O$167:$O$327</c:f>
              <c:numCache>
                <c:ptCount val="161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1299273.6229</c:v>
                </c:pt>
                <c:pt idx="139">
                  <c:v>1299273.6229</c:v>
                </c:pt>
                <c:pt idx="140">
                  <c:v>1299273.6229</c:v>
                </c:pt>
                <c:pt idx="141">
                  <c:v>1299273.6229</c:v>
                </c:pt>
                <c:pt idx="142">
                  <c:v>1299273.6229</c:v>
                </c:pt>
                <c:pt idx="143">
                  <c:v>1299273.6229</c:v>
                </c:pt>
                <c:pt idx="144">
                  <c:v>1299273.6229</c:v>
                </c:pt>
                <c:pt idx="145">
                  <c:v>1299273.6229</c:v>
                </c:pt>
                <c:pt idx="146">
                  <c:v>1299273.6229</c:v>
                </c:pt>
                <c:pt idx="147">
                  <c:v>1299273.6229</c:v>
                </c:pt>
                <c:pt idx="148">
                  <c:v>1299273.6229</c:v>
                </c:pt>
                <c:pt idx="149">
                  <c:v>1299273.6229</c:v>
                </c:pt>
                <c:pt idx="150">
                  <c:v>1142150</c:v>
                </c:pt>
                <c:pt idx="151">
                  <c:v>1142150</c:v>
                </c:pt>
                <c:pt idx="152">
                  <c:v>1142150</c:v>
                </c:pt>
                <c:pt idx="153">
                  <c:v>1142150</c:v>
                </c:pt>
                <c:pt idx="154">
                  <c:v>1142150</c:v>
                </c:pt>
                <c:pt idx="155">
                  <c:v>1142150</c:v>
                </c:pt>
                <c:pt idx="156">
                  <c:v>1142150</c:v>
                </c:pt>
                <c:pt idx="157">
                  <c:v>1142150</c:v>
                </c:pt>
                <c:pt idx="158">
                  <c:v>1142150</c:v>
                </c:pt>
                <c:pt idx="159">
                  <c:v>1142150</c:v>
                </c:pt>
                <c:pt idx="160">
                  <c:v>1142150</c:v>
                </c:pt>
              </c:numCache>
            </c:numRef>
          </c:yVal>
          <c:smooth val="0"/>
        </c:ser>
        <c:axId val="66310906"/>
        <c:axId val="59927243"/>
      </c:scatterChart>
      <c:valAx>
        <c:axId val="66310906"/>
        <c:scaling>
          <c:orientation val="minMax"/>
          <c:max val="2021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927243"/>
        <c:crosses val="autoZero"/>
        <c:crossBetween val="midCat"/>
        <c:dispUnits/>
        <c:majorUnit val="1"/>
        <c:minorUnit val="0.1"/>
      </c:valAx>
      <c:valAx>
        <c:axId val="59927243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310906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6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4975"/>
          <c:y val="0.923"/>
          <c:w val="0.511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1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2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3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4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5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6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7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8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59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0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1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2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3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0.49575</cdr:x>
      <cdr:y>0.572</cdr:y>
    </cdr:from>
    <cdr:to>
      <cdr:x>0.5095</cdr:x>
      <cdr:y>0.5985</cdr:y>
    </cdr:to>
    <cdr:sp>
      <cdr:nvSpPr>
        <cdr:cNvPr id="64" name="Text Box 2"/>
        <cdr:cNvSpPr txBox="1">
          <a:spLocks noChangeArrowheads="1"/>
        </cdr:cNvSpPr>
      </cdr:nvSpPr>
      <cdr:spPr>
        <a:xfrm>
          <a:off x="3438525" y="2314575"/>
          <a:ext cx="952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0.927</cdr:x>
      <cdr:y>0.565</cdr:y>
    </cdr:from>
    <cdr:to>
      <cdr:x>0.927</cdr:x>
      <cdr:y>0.5655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429375" y="2286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0.5385</cdr:y>
    </cdr:from>
    <cdr:to>
      <cdr:x>0.45225</cdr:x>
      <cdr:y>0.583</cdr:y>
    </cdr:to>
    <cdr:sp>
      <cdr:nvSpPr>
        <cdr:cNvPr id="1" name="Text Box 1"/>
        <cdr:cNvSpPr txBox="1">
          <a:spLocks noChangeArrowheads="1"/>
        </cdr:cNvSpPr>
      </cdr:nvSpPr>
      <cdr:spPr>
        <a:xfrm>
          <a:off x="3086100" y="217170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12</xdr:col>
      <xdr:colOff>190500</xdr:colOff>
      <xdr:row>30</xdr:row>
      <xdr:rowOff>133350</xdr:rowOff>
    </xdr:to>
    <xdr:graphicFrame>
      <xdr:nvGraphicFramePr>
        <xdr:cNvPr id="1" name="Chart 1026"/>
        <xdr:cNvGraphicFramePr/>
      </xdr:nvGraphicFramePr>
      <xdr:xfrm>
        <a:off x="619125" y="1066800"/>
        <a:ext cx="69437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12</xdr:col>
      <xdr:colOff>228600</xdr:colOff>
      <xdr:row>76</xdr:row>
      <xdr:rowOff>28575</xdr:rowOff>
    </xdr:to>
    <xdr:graphicFrame>
      <xdr:nvGraphicFramePr>
        <xdr:cNvPr id="2" name="Chart 1027"/>
        <xdr:cNvGraphicFramePr/>
      </xdr:nvGraphicFramePr>
      <xdr:xfrm>
        <a:off x="609600" y="6610350"/>
        <a:ext cx="699135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30"/>
  <sheetViews>
    <sheetView zoomScalePageLayoutView="0" workbookViewId="0" topLeftCell="A5">
      <pane xSplit="4" ySplit="3" topLeftCell="AI316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330" sqref="A330:IV330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94">
        <v>3869</v>
      </c>
      <c r="K85" s="294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94">
        <v>4034</v>
      </c>
      <c r="K86" s="294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94">
        <v>4285</v>
      </c>
      <c r="K87" s="294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94">
        <v>4266</v>
      </c>
      <c r="K88" s="294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94">
        <v>4352</v>
      </c>
      <c r="K89" s="294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98">
        <v>4271.266666666666</v>
      </c>
      <c r="K90" s="298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94">
        <v>4265.225806451613</v>
      </c>
      <c r="K91" s="294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94">
        <v>4113.322580645161</v>
      </c>
      <c r="K92" s="294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94">
        <v>4045.214285714286</v>
      </c>
      <c r="K93" s="294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94">
        <v>3904.064516129032</v>
      </c>
      <c r="K94" s="294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94">
        <v>4358.2</v>
      </c>
      <c r="K95" s="294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94">
        <v>4537.387096774193</v>
      </c>
      <c r="K96" s="294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94">
        <v>4451</v>
      </c>
      <c r="K97" s="294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94">
        <v>4561</v>
      </c>
      <c r="K98" s="294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94">
        <v>4385</v>
      </c>
      <c r="K99" s="294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94">
        <v>4487</v>
      </c>
      <c r="K100" s="294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94">
        <v>4265</v>
      </c>
      <c r="K101" s="294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94">
        <v>4133</v>
      </c>
      <c r="K102" s="294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94">
        <v>3945</v>
      </c>
      <c r="K103" s="294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94">
        <v>3743</v>
      </c>
      <c r="K104" s="294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94">
        <v>3792</v>
      </c>
      <c r="K105" s="294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94">
        <v>3462</v>
      </c>
      <c r="K106" s="294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94">
        <v>3441</v>
      </c>
      <c r="K107" s="294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94">
        <v>3531</v>
      </c>
      <c r="K108" s="294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94">
        <v>3546</v>
      </c>
      <c r="K109" s="294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94">
        <v>3405</v>
      </c>
      <c r="K110" s="294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94">
        <v>3341</v>
      </c>
      <c r="K111" s="294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94">
        <v>3357</v>
      </c>
      <c r="K112" s="294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94">
        <v>3346</v>
      </c>
      <c r="K113" s="294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94">
        <v>3341</v>
      </c>
      <c r="K114" s="294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94">
        <v>3291</v>
      </c>
      <c r="K115" s="294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94">
        <v>3103</v>
      </c>
      <c r="K116" s="294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94">
        <v>3002</v>
      </c>
      <c r="K117" s="294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94">
        <v>2920</v>
      </c>
      <c r="K118" s="294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94">
        <v>3023</v>
      </c>
      <c r="K119" s="294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94">
        <v>3080</v>
      </c>
      <c r="K120" s="294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94">
        <v>3168</v>
      </c>
      <c r="K121" s="294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94">
        <v>3369</v>
      </c>
      <c r="K122" s="294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94">
        <v>3462</v>
      </c>
      <c r="K123" s="294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94">
        <v>3406</v>
      </c>
      <c r="K124" s="294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94">
        <v>3500</v>
      </c>
      <c r="K125" s="294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94">
        <v>3472</v>
      </c>
      <c r="K126" s="294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94">
        <v>4015</v>
      </c>
      <c r="K127" s="294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94">
        <v>3622</v>
      </c>
      <c r="K128" s="294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94">
        <v>3604</v>
      </c>
      <c r="K129" s="294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94">
        <v>3645</v>
      </c>
      <c r="K130" s="294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94">
        <v>3604.5</v>
      </c>
      <c r="K131" s="294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94">
        <v>3630</v>
      </c>
      <c r="K132" s="294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94">
        <v>3661.0666666666666</v>
      </c>
      <c r="K133" s="294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94">
        <v>3662.032258064516</v>
      </c>
      <c r="K134" s="294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94">
        <v>3615.6451612903224</v>
      </c>
      <c r="K135" s="294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94">
        <v>3657.0333333333333</v>
      </c>
      <c r="K136" s="294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94">
        <v>3615.483870967742</v>
      </c>
      <c r="K137" s="294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94">
        <v>3553.5666666666666</v>
      </c>
      <c r="K138" s="294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94">
        <v>3515</v>
      </c>
      <c r="K139" s="294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94">
        <v>3414</v>
      </c>
      <c r="K140" s="294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94">
        <v>3357</v>
      </c>
      <c r="K141" s="294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94">
        <v>3434.3225806451615</v>
      </c>
      <c r="K142" s="294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94">
        <v>3363</v>
      </c>
      <c r="K143" s="294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94">
        <v>3416</v>
      </c>
      <c r="K144" s="294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94">
        <v>3386</v>
      </c>
      <c r="K145" s="294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94">
        <v>3353</v>
      </c>
      <c r="K146" s="294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94">
        <v>3355</v>
      </c>
      <c r="K147" s="294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94">
        <v>3402</v>
      </c>
      <c r="K148" s="294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94">
        <v>3320</v>
      </c>
      <c r="K149" s="294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94">
        <v>3087</v>
      </c>
      <c r="K150" s="297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94">
        <v>3053</v>
      </c>
      <c r="K151" s="297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94">
        <v>3163.19</v>
      </c>
      <c r="K152" s="294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97">
        <v>3199</v>
      </c>
      <c r="K153" s="297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97">
        <v>3167</v>
      </c>
      <c r="K154" s="297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97">
        <v>3182</v>
      </c>
      <c r="K155" s="297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94">
        <v>3146</v>
      </c>
      <c r="K156" s="294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94">
        <v>3103</v>
      </c>
      <c r="K157" s="294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94">
        <v>3059.6451612903224</v>
      </c>
      <c r="K158" s="294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96">
        <f>93766/31</f>
        <v>3024.7096774193546</v>
      </c>
      <c r="K159" s="296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97">
        <v>2984</v>
      </c>
      <c r="K160" s="297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94">
        <v>3008</v>
      </c>
      <c r="K161" s="294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97">
        <v>2909</v>
      </c>
      <c r="K162" s="297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94">
        <v>2685</v>
      </c>
      <c r="K163" s="294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97">
        <v>2853</v>
      </c>
      <c r="K164" s="297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94">
        <f>80304/28</f>
        <v>2868</v>
      </c>
      <c r="K165" s="294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94">
        <v>2812</v>
      </c>
      <c r="K166" s="294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96">
        <f>90267/30</f>
        <v>3008.9</v>
      </c>
      <c r="K167" s="296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96">
        <f>91935/31</f>
        <v>2965.6451612903224</v>
      </c>
      <c r="K168" s="296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96">
        <f>87309/30</f>
        <v>2910.3</v>
      </c>
      <c r="K169" s="296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96">
        <f>90019/31</f>
        <v>2903.8387096774195</v>
      </c>
      <c r="K170" s="296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96">
        <f>89184/31</f>
        <v>2876.9032258064517</v>
      </c>
      <c r="K171" s="296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96">
        <f>86428/30</f>
        <v>2880.9333333333334</v>
      </c>
      <c r="K172" s="296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96">
        <f>87919/31</f>
        <v>2836.0967741935483</v>
      </c>
      <c r="K173" s="296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96">
        <f>84130/30</f>
        <v>2804.3333333333335</v>
      </c>
      <c r="K174" s="296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96">
        <f>82208/31</f>
        <v>2651.8709677419356</v>
      </c>
      <c r="K175" s="296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96">
        <f>86419/31</f>
        <v>2787.7096774193546</v>
      </c>
      <c r="K176" s="296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96">
        <f>74593/29</f>
        <v>2572.1724137931033</v>
      </c>
      <c r="K177" s="296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94">
        <f>85577/31</f>
        <v>2760.548387096774</v>
      </c>
      <c r="K178" s="294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94">
        <f>82758/30</f>
        <v>2758.6</v>
      </c>
      <c r="K179" s="294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96">
        <f>85851/31</f>
        <v>2769.3870967741937</v>
      </c>
      <c r="K180" s="296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96">
        <f>87560/30</f>
        <v>2918.6666666666665</v>
      </c>
      <c r="K181" s="296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96">
        <f>88738/31</f>
        <v>2862.516129032258</v>
      </c>
      <c r="K182" s="296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94">
        <f>88926/31</f>
        <v>2868.5806451612902</v>
      </c>
      <c r="K183" s="294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94">
        <f>86401/30</f>
        <v>2880.0333333333333</v>
      </c>
      <c r="K184" s="294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94">
        <v>2812</v>
      </c>
      <c r="K185" s="294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94">
        <f>80326/30</f>
        <v>2677.5333333333333</v>
      </c>
      <c r="K186" s="294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94">
        <f>79547/31</f>
        <v>2566.032258064516</v>
      </c>
      <c r="K187" s="294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94">
        <f>84836/31</f>
        <v>2736.6451612903224</v>
      </c>
      <c r="K188" s="294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94">
        <f>77894/28</f>
        <v>2781.9285714285716</v>
      </c>
      <c r="K189" s="294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94">
        <f>85996/31</f>
        <v>2774.064516129032</v>
      </c>
      <c r="K190" s="294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94">
        <f>79835/30</f>
        <v>2661.1666666666665</v>
      </c>
      <c r="K191" s="294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94">
        <f>85955/31</f>
        <v>2772.7419354838707</v>
      </c>
      <c r="K192" s="294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94">
        <f>83911/30</f>
        <v>2797.0333333333333</v>
      </c>
      <c r="K193" s="294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94">
        <f>84624/31</f>
        <v>2729.8064516129034</v>
      </c>
      <c r="K194" s="294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94">
        <f>90419/31</f>
        <v>2916.7419354838707</v>
      </c>
      <c r="K195" s="294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94">
        <f>90750/30</f>
        <v>3025</v>
      </c>
      <c r="K196" s="294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94">
        <f>107300/31</f>
        <v>3461.2903225806454</v>
      </c>
      <c r="K197" s="294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94">
        <f>108534/30</f>
        <v>3617.8</v>
      </c>
      <c r="K198" s="294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94">
        <f>103950/31</f>
        <v>3353.2258064516127</v>
      </c>
      <c r="K199" s="294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94">
        <f>120268/31</f>
        <v>3879.6129032258063</v>
      </c>
      <c r="K200" s="294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94">
        <f>93325/28</f>
        <v>3333.035714285714</v>
      </c>
      <c r="K201" s="294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94">
        <f>109834/31</f>
        <v>3543.032258064516</v>
      </c>
      <c r="K202" s="294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94">
        <f>110030/30</f>
        <v>3667.6666666666665</v>
      </c>
      <c r="K203" s="294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94">
        <f>97085/31</f>
        <v>3131.7741935483873</v>
      </c>
      <c r="K204" s="294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94">
        <f>106530/30</f>
        <v>3551</v>
      </c>
      <c r="K205" s="294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94">
        <f>91473/31</f>
        <v>2950.7419354838707</v>
      </c>
      <c r="K206" s="294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94">
        <f>81817/31</f>
        <v>2639.2580645161293</v>
      </c>
      <c r="K207" s="294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94">
        <f>80223/30</f>
        <v>2674.1</v>
      </c>
      <c r="K208" s="294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94">
        <f>87966/31</f>
        <v>2837.6129032258063</v>
      </c>
      <c r="K209" s="294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94">
        <f>87026/30</f>
        <v>2900.866666666667</v>
      </c>
      <c r="K210" s="294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94">
        <v>2743</v>
      </c>
      <c r="K211" s="294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94">
        <f>84980/31</f>
        <v>2741.2903225806454</v>
      </c>
      <c r="K212" s="294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94">
        <f>81774/28</f>
        <v>2920.5</v>
      </c>
      <c r="K213" s="294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94">
        <f>87762/31</f>
        <v>2831.032258064516</v>
      </c>
      <c r="K214" s="294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94">
        <f>82573/30</f>
        <v>2752.4333333333334</v>
      </c>
      <c r="K215" s="294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94">
        <v>2798</v>
      </c>
      <c r="K216" s="294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94">
        <f>88734/30</f>
        <v>2957.8</v>
      </c>
      <c r="K217" s="294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94">
        <f>94911/31</f>
        <v>3061.6451612903224</v>
      </c>
      <c r="K218" s="294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94">
        <f>97382/31</f>
        <v>3141.3548387096776</v>
      </c>
      <c r="K219" s="294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94">
        <f>97457/30</f>
        <v>3248.5666666666666</v>
      </c>
      <c r="K220" s="294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94">
        <f>99680/31</f>
        <v>3215.483870967742</v>
      </c>
      <c r="K221" s="294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94">
        <f>104127/30</f>
        <v>3470.9</v>
      </c>
      <c r="K222" s="294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95">
        <v>3436</v>
      </c>
      <c r="K223" s="295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99">
        <v>3291.64516129032</v>
      </c>
      <c r="K224" s="299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94">
        <f>83102/29</f>
        <v>2865.5862068965516</v>
      </c>
      <c r="K225" s="294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94">
        <f>99764/31</f>
        <v>3218.1935483870966</v>
      </c>
      <c r="K226" s="294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94">
        <v>3018.4333333333334</v>
      </c>
      <c r="K227" s="294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94">
        <v>3254.41935483871</v>
      </c>
      <c r="K228" s="294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94">
        <v>3280.2</v>
      </c>
      <c r="K229" s="294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94">
        <v>3272.1612903225805</v>
      </c>
      <c r="K230" s="294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94">
        <v>3518.03225806452</v>
      </c>
      <c r="K231" s="294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94">
        <v>3496</v>
      </c>
      <c r="K232" s="294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94">
        <f>113288/31</f>
        <v>3654.451612903226</v>
      </c>
      <c r="K233" s="294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94">
        <v>3587</v>
      </c>
      <c r="K234" s="294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95">
        <v>3640.741935</v>
      </c>
      <c r="K235" s="295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95">
        <f>104345/31</f>
        <v>3365.967741935484</v>
      </c>
      <c r="K236" s="295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95">
        <f>98920/28</f>
        <v>3532.8571428571427</v>
      </c>
      <c r="K237" s="295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95">
        <f>93904/31</f>
        <v>3029.1612903225805</v>
      </c>
      <c r="K238" s="295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92">
        <f>95861/30</f>
        <v>3195.366666666667</v>
      </c>
      <c r="K239" s="293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92">
        <f>109894/31</f>
        <v>3544.967741935484</v>
      </c>
      <c r="K240" s="293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92">
        <f>92416/30</f>
        <v>3080.5333333333333</v>
      </c>
      <c r="K241" s="293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92">
        <f>112945/31</f>
        <v>3643.3870967741937</v>
      </c>
      <c r="K242" s="293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92">
        <f>115529/31</f>
        <v>3726.7419354838707</v>
      </c>
      <c r="K243" s="293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92">
        <f>111777/30</f>
        <v>3725.9</v>
      </c>
      <c r="K244" s="293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92">
        <f>110419/31</f>
        <v>3561.9032258064517</v>
      </c>
      <c r="K245" s="293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92">
        <f>105792/30</f>
        <v>3526.4</v>
      </c>
      <c r="K246" s="293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92">
        <f>110534/31</f>
        <v>3565.6129032258063</v>
      </c>
      <c r="K247" s="293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6">
        <f>110291/31</f>
        <v>3557.7741935483873</v>
      </c>
      <c r="K248" s="287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6">
        <f>101369/28</f>
        <v>3620.3214285714284</v>
      </c>
      <c r="K249" s="287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6">
        <f>112963/31</f>
        <v>3643.967741935484</v>
      </c>
      <c r="K250" s="287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6">
        <f>108338/30</f>
        <v>3611.266666666667</v>
      </c>
      <c r="K251" s="287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6">
        <f>109035/31</f>
        <v>3517.2580645161293</v>
      </c>
      <c r="K252" s="287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6">
        <v>3547</v>
      </c>
      <c r="K253" s="287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6">
        <v>3668.6129032258063</v>
      </c>
      <c r="K254" s="287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6">
        <v>3622.1612903225805</v>
      </c>
      <c r="K255" s="287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6">
        <v>3566</v>
      </c>
      <c r="K256" s="287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6">
        <v>3564</v>
      </c>
      <c r="K257" s="287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6">
        <v>3483.9666666666667</v>
      </c>
      <c r="K258" s="287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88">
        <v>3553.451612903226</v>
      </c>
      <c r="K259" s="289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90">
        <v>3458.1612903225805</v>
      </c>
      <c r="K260" s="291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90">
        <v>3550.9285714285716</v>
      </c>
      <c r="K261" s="291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90">
        <v>3401.6451612903224</v>
      </c>
      <c r="K262" s="291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90">
        <v>3415.6666666666665</v>
      </c>
      <c r="K263" s="291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90">
        <v>3440.967741935484</v>
      </c>
      <c r="K264" s="291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90">
        <v>3394.3</v>
      </c>
      <c r="K265" s="291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90">
        <v>3407.064516129032</v>
      </c>
      <c r="K266" s="291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90">
        <v>3457.12903225806</v>
      </c>
      <c r="K267" s="291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90">
        <v>3365.76666666667</v>
      </c>
      <c r="K268" s="291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90">
        <v>3472.967741935484</v>
      </c>
      <c r="K269" s="291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90">
        <v>3349.4</v>
      </c>
      <c r="K270" s="291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90">
        <v>3288.8709677419356</v>
      </c>
      <c r="K271" s="291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84">
        <v>3243.32258064516</v>
      </c>
      <c r="K272" s="285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84">
        <v>3242.896551724138</v>
      </c>
      <c r="K273" s="285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84">
        <v>2940.90322580645</v>
      </c>
      <c r="K274" s="285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84">
        <v>3179.33333333333</v>
      </c>
      <c r="K275" s="285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84">
        <v>3165.16129032258</v>
      </c>
      <c r="K276" s="285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84">
        <v>3254.866666666667</v>
      </c>
      <c r="K277" s="285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84">
        <v>3235.8387096774195</v>
      </c>
      <c r="K278" s="285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9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  <c r="AM301" s="138"/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7">
        <f aca="true" t="shared" si="46" ref="C308:C313">+C307+0.0833333</f>
        <v>2019.0833233000149</v>
      </c>
      <c r="D308" s="268">
        <v>43466</v>
      </c>
      <c r="E308" s="269"/>
      <c r="F308" s="269"/>
      <c r="G308" s="269"/>
      <c r="H308" s="269"/>
      <c r="I308" s="269"/>
      <c r="J308" s="269"/>
      <c r="K308" s="269"/>
      <c r="L308" s="269"/>
      <c r="M308" s="269"/>
      <c r="N308" s="269"/>
      <c r="O308" s="269"/>
      <c r="P308" s="269"/>
      <c r="Q308" s="269"/>
      <c r="R308" s="269"/>
      <c r="S308" s="269"/>
      <c r="T308" s="269"/>
      <c r="U308" s="269"/>
      <c r="V308" s="269"/>
      <c r="W308" s="269"/>
      <c r="X308" s="269"/>
      <c r="Y308" s="269"/>
      <c r="Z308" s="269"/>
      <c r="AA308" s="269"/>
      <c r="AB308" s="269"/>
      <c r="AC308" s="269"/>
      <c r="AD308" s="269"/>
      <c r="AE308" s="269"/>
      <c r="AF308" s="269"/>
      <c r="AG308" s="269"/>
      <c r="AH308" s="269"/>
      <c r="AI308" s="270">
        <v>131290</v>
      </c>
      <c r="AJ308" s="271">
        <v>139721</v>
      </c>
      <c r="AK308" s="272">
        <f t="shared" si="45"/>
        <v>-8987</v>
      </c>
    </row>
    <row r="309" spans="3:37" ht="12.75">
      <c r="C309" s="267">
        <f t="shared" si="46"/>
        <v>2019.166656600015</v>
      </c>
      <c r="D309" s="268">
        <v>43497</v>
      </c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  <c r="O309" s="269"/>
      <c r="P309" s="269"/>
      <c r="Q309" s="269"/>
      <c r="R309" s="269"/>
      <c r="S309" s="269"/>
      <c r="T309" s="269"/>
      <c r="U309" s="269"/>
      <c r="V309" s="269"/>
      <c r="W309" s="269"/>
      <c r="X309" s="269"/>
      <c r="Y309" s="269"/>
      <c r="Z309" s="269"/>
      <c r="AA309" s="269"/>
      <c r="AB309" s="269"/>
      <c r="AC309" s="269"/>
      <c r="AD309" s="269"/>
      <c r="AE309" s="269"/>
      <c r="AF309" s="269"/>
      <c r="AG309" s="269"/>
      <c r="AH309" s="269"/>
      <c r="AI309" s="270">
        <v>142489</v>
      </c>
      <c r="AJ309" s="271">
        <v>139721</v>
      </c>
      <c r="AK309" s="272">
        <f t="shared" si="45"/>
        <v>11199</v>
      </c>
    </row>
    <row r="310" spans="3:37" ht="12.75">
      <c r="C310" s="267">
        <f t="shared" si="46"/>
        <v>2019.249989900015</v>
      </c>
      <c r="D310" s="268">
        <v>43525</v>
      </c>
      <c r="E310" s="269"/>
      <c r="F310" s="269"/>
      <c r="G310" s="269"/>
      <c r="H310" s="269"/>
      <c r="I310" s="269"/>
      <c r="J310" s="269"/>
      <c r="K310" s="269"/>
      <c r="L310" s="269"/>
      <c r="M310" s="269"/>
      <c r="N310" s="269"/>
      <c r="O310" s="269"/>
      <c r="P310" s="269"/>
      <c r="Q310" s="269"/>
      <c r="R310" s="269"/>
      <c r="S310" s="269"/>
      <c r="T310" s="269"/>
      <c r="U310" s="269"/>
      <c r="V310" s="269"/>
      <c r="W310" s="269"/>
      <c r="X310" s="269"/>
      <c r="Y310" s="269"/>
      <c r="Z310" s="269"/>
      <c r="AA310" s="269"/>
      <c r="AB310" s="269"/>
      <c r="AC310" s="269"/>
      <c r="AD310" s="269"/>
      <c r="AE310" s="269"/>
      <c r="AF310" s="269"/>
      <c r="AG310" s="269"/>
      <c r="AH310" s="269"/>
      <c r="AI310" s="270">
        <v>140094</v>
      </c>
      <c r="AJ310" s="271">
        <v>139721</v>
      </c>
      <c r="AK310" s="272">
        <f aca="true" t="shared" si="47" ref="AK310:AK315">+AI310-AI309</f>
        <v>-2395</v>
      </c>
    </row>
    <row r="311" spans="3:39" ht="12.75">
      <c r="C311" s="267">
        <f t="shared" si="46"/>
        <v>2019.333323200015</v>
      </c>
      <c r="D311" s="268">
        <v>43556</v>
      </c>
      <c r="E311" s="269"/>
      <c r="F311" s="269"/>
      <c r="G311" s="269"/>
      <c r="H311" s="269"/>
      <c r="I311" s="269"/>
      <c r="J311" s="269"/>
      <c r="K311" s="269"/>
      <c r="L311" s="269"/>
      <c r="M311" s="269"/>
      <c r="N311" s="269"/>
      <c r="O311" s="269"/>
      <c r="P311" s="269"/>
      <c r="Q311" s="269"/>
      <c r="R311" s="269"/>
      <c r="S311" s="269"/>
      <c r="T311" s="269"/>
      <c r="U311" s="269"/>
      <c r="V311" s="269"/>
      <c r="W311" s="269"/>
      <c r="X311" s="269"/>
      <c r="Y311" s="269"/>
      <c r="Z311" s="269"/>
      <c r="AA311" s="269"/>
      <c r="AB311" s="269"/>
      <c r="AC311" s="269"/>
      <c r="AD311" s="269"/>
      <c r="AE311" s="269"/>
      <c r="AF311" s="269"/>
      <c r="AG311" s="269"/>
      <c r="AH311" s="269"/>
      <c r="AI311" s="270">
        <v>129871</v>
      </c>
      <c r="AJ311" s="271">
        <v>139721</v>
      </c>
      <c r="AK311" s="272">
        <f t="shared" si="47"/>
        <v>-10223</v>
      </c>
      <c r="AM311" s="138"/>
    </row>
    <row r="312" spans="3:37" ht="12.75">
      <c r="C312" s="267">
        <f t="shared" si="46"/>
        <v>2019.416656500015</v>
      </c>
      <c r="D312" s="268">
        <v>43586</v>
      </c>
      <c r="AI312" s="270">
        <v>136208</v>
      </c>
      <c r="AJ312" s="271">
        <v>139721</v>
      </c>
      <c r="AK312" s="272">
        <f t="shared" si="47"/>
        <v>6337</v>
      </c>
    </row>
    <row r="313" spans="3:37" ht="12.75">
      <c r="C313" s="267">
        <f t="shared" si="46"/>
        <v>2019.499989800015</v>
      </c>
      <c r="D313" s="268">
        <v>43617</v>
      </c>
      <c r="AI313" s="270">
        <v>136972</v>
      </c>
      <c r="AJ313" s="271">
        <v>139721</v>
      </c>
      <c r="AK313" s="272">
        <f t="shared" si="47"/>
        <v>764</v>
      </c>
    </row>
    <row r="314" spans="3:37" ht="12.75">
      <c r="C314" s="267">
        <f aca="true" t="shared" si="48" ref="C314:C327">+C313+0.0833333</f>
        <v>2019.5833231000151</v>
      </c>
      <c r="D314" s="268">
        <v>43647</v>
      </c>
      <c r="AI314" s="270">
        <v>132067</v>
      </c>
      <c r="AJ314" s="271">
        <v>139721</v>
      </c>
      <c r="AK314" s="272">
        <f t="shared" si="47"/>
        <v>-4905</v>
      </c>
    </row>
    <row r="315" spans="3:37" ht="12.75">
      <c r="C315" s="267">
        <f t="shared" si="48"/>
        <v>2019.6666564000152</v>
      </c>
      <c r="D315" s="268">
        <v>43678</v>
      </c>
      <c r="AI315" s="270">
        <v>142623</v>
      </c>
      <c r="AJ315" s="271">
        <v>139721</v>
      </c>
      <c r="AK315" s="272">
        <f t="shared" si="47"/>
        <v>10556</v>
      </c>
    </row>
    <row r="316" spans="3:37" ht="12.75">
      <c r="C316" s="267">
        <f t="shared" si="48"/>
        <v>2019.7499897000152</v>
      </c>
      <c r="D316" s="268">
        <v>43709</v>
      </c>
      <c r="AI316" s="270">
        <v>149391</v>
      </c>
      <c r="AJ316" s="271">
        <v>139721</v>
      </c>
      <c r="AK316" s="272">
        <f aca="true" t="shared" si="49" ref="AK316:AK321">+AI316-AI315</f>
        <v>6768</v>
      </c>
    </row>
    <row r="317" spans="3:37" ht="12.75">
      <c r="C317" s="267">
        <f t="shared" si="48"/>
        <v>2019.8333230000153</v>
      </c>
      <c r="D317" s="268">
        <v>43739</v>
      </c>
      <c r="AI317" s="270">
        <v>138069</v>
      </c>
      <c r="AJ317" s="271">
        <v>139721</v>
      </c>
      <c r="AK317" s="272">
        <f t="shared" si="49"/>
        <v>-11322</v>
      </c>
    </row>
    <row r="318" spans="3:37" ht="12.75">
      <c r="C318" s="267">
        <f t="shared" si="48"/>
        <v>2019.9166563000153</v>
      </c>
      <c r="D318" s="268">
        <v>43770</v>
      </c>
      <c r="AI318" s="270">
        <v>152710</v>
      </c>
      <c r="AJ318" s="271">
        <v>139721</v>
      </c>
      <c r="AK318" s="272">
        <f t="shared" si="49"/>
        <v>14641</v>
      </c>
    </row>
    <row r="319" spans="3:39" ht="12.75">
      <c r="C319" s="267">
        <f t="shared" si="48"/>
        <v>2019.9999896000154</v>
      </c>
      <c r="D319" s="268">
        <v>43800</v>
      </c>
      <c r="AI319" s="270">
        <v>145463</v>
      </c>
      <c r="AJ319" s="271">
        <v>139721</v>
      </c>
      <c r="AK319" s="272">
        <f t="shared" si="49"/>
        <v>-7247</v>
      </c>
      <c r="AM319" s="138"/>
    </row>
    <row r="320" spans="3:37" ht="12.75">
      <c r="C320" s="278">
        <f t="shared" si="48"/>
        <v>2020.0833229000154</v>
      </c>
      <c r="D320" s="279">
        <v>43831</v>
      </c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280">
        <v>146235</v>
      </c>
      <c r="AJ320" s="128">
        <v>124809</v>
      </c>
      <c r="AK320" s="281">
        <f t="shared" si="49"/>
        <v>772</v>
      </c>
    </row>
    <row r="321" spans="3:37" ht="12.75">
      <c r="C321" s="278">
        <f t="shared" si="48"/>
        <v>2020.1666562000155</v>
      </c>
      <c r="D321" s="279">
        <v>43862</v>
      </c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280">
        <v>151488</v>
      </c>
      <c r="AJ321" s="128">
        <v>124809</v>
      </c>
      <c r="AK321" s="281">
        <f t="shared" si="49"/>
        <v>5253</v>
      </c>
    </row>
    <row r="322" spans="3:37" ht="12.75">
      <c r="C322" s="278">
        <f t="shared" si="48"/>
        <v>2020.2499895000155</v>
      </c>
      <c r="D322" s="279">
        <v>43891</v>
      </c>
      <c r="AI322" s="280">
        <v>122861</v>
      </c>
      <c r="AJ322" s="128">
        <v>124809</v>
      </c>
      <c r="AK322" s="281">
        <f aca="true" t="shared" si="50" ref="AK322:AK327">+AI322-AI321</f>
        <v>-28627</v>
      </c>
    </row>
    <row r="323" spans="3:37" ht="12.75">
      <c r="C323" s="278">
        <f t="shared" si="48"/>
        <v>2020.3333228000156</v>
      </c>
      <c r="D323" s="279">
        <v>43922</v>
      </c>
      <c r="AI323" s="280">
        <v>119608</v>
      </c>
      <c r="AJ323" s="128">
        <v>124809</v>
      </c>
      <c r="AK323" s="281">
        <f t="shared" si="50"/>
        <v>-3253</v>
      </c>
    </row>
    <row r="324" spans="3:38" ht="12.75">
      <c r="C324" s="278">
        <f t="shared" si="48"/>
        <v>2020.4166561000156</v>
      </c>
      <c r="D324" s="279">
        <v>43952</v>
      </c>
      <c r="AI324" s="280">
        <v>110530</v>
      </c>
      <c r="AJ324" s="128">
        <v>124809</v>
      </c>
      <c r="AK324" s="281">
        <f t="shared" si="50"/>
        <v>-9078</v>
      </c>
      <c r="AL324" s="138"/>
    </row>
    <row r="325" spans="3:37" ht="12.75">
      <c r="C325" s="278">
        <f t="shared" si="48"/>
        <v>2020.4999894000157</v>
      </c>
      <c r="D325" s="279">
        <v>43983</v>
      </c>
      <c r="AI325" s="280">
        <v>114077</v>
      </c>
      <c r="AJ325" s="128">
        <v>124809</v>
      </c>
      <c r="AK325" s="281">
        <f t="shared" si="50"/>
        <v>3547</v>
      </c>
    </row>
    <row r="326" spans="3:37" ht="12.75">
      <c r="C326" s="278">
        <f t="shared" si="48"/>
        <v>2020.5833227000157</v>
      </c>
      <c r="D326" s="279">
        <v>44013</v>
      </c>
      <c r="AI326" s="280">
        <v>123381</v>
      </c>
      <c r="AJ326" s="128">
        <v>124809</v>
      </c>
      <c r="AK326" s="281">
        <f t="shared" si="50"/>
        <v>9304</v>
      </c>
    </row>
    <row r="327" spans="3:37" ht="12.75">
      <c r="C327" s="278">
        <f t="shared" si="48"/>
        <v>2020.6666560000158</v>
      </c>
      <c r="D327" s="279">
        <v>44044</v>
      </c>
      <c r="AI327" s="280">
        <v>119820</v>
      </c>
      <c r="AJ327" s="128">
        <v>124809</v>
      </c>
      <c r="AK327" s="281">
        <f t="shared" si="50"/>
        <v>-3561</v>
      </c>
    </row>
    <row r="328" spans="3:37" ht="12.75">
      <c r="C328" s="278">
        <f>+C327+0.0833333</f>
        <v>2020.7499893000158</v>
      </c>
      <c r="D328" s="279">
        <v>44075</v>
      </c>
      <c r="AI328" s="280">
        <v>120007</v>
      </c>
      <c r="AJ328" s="128">
        <v>124809</v>
      </c>
      <c r="AK328" s="281">
        <f>+AI328-AI327</f>
        <v>187</v>
      </c>
    </row>
    <row r="329" spans="3:37" ht="12.75">
      <c r="C329" s="278">
        <f>+C328+0.0833333</f>
        <v>2020.833322600016</v>
      </c>
      <c r="D329" s="279">
        <v>44105</v>
      </c>
      <c r="AI329" s="280">
        <v>122003</v>
      </c>
      <c r="AJ329" s="128">
        <v>124809</v>
      </c>
      <c r="AK329" s="281">
        <f>+AI329-AI328</f>
        <v>1996</v>
      </c>
    </row>
    <row r="330" spans="3:37" ht="12.75">
      <c r="C330" s="278">
        <f>+C329+0.0833333</f>
        <v>2020.916655900016</v>
      </c>
      <c r="D330" s="279">
        <v>44136</v>
      </c>
      <c r="AI330" s="280">
        <v>123907</v>
      </c>
      <c r="AJ330" s="128">
        <v>124809</v>
      </c>
      <c r="AK330" s="281">
        <f>+AI330-AI329</f>
        <v>1904</v>
      </c>
    </row>
  </sheetData>
  <sheetProtection/>
  <mergeCells count="194"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215:K215"/>
    <mergeCell ref="J208:K208"/>
    <mergeCell ref="J209:K209"/>
    <mergeCell ref="J207:K207"/>
    <mergeCell ref="J216:K216"/>
    <mergeCell ref="J210:K210"/>
    <mergeCell ref="J214:K214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D31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317" sqref="O317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300" t="s">
        <v>31</v>
      </c>
      <c r="AG11" s="300"/>
      <c r="AH11" s="300"/>
      <c r="AI11" s="300"/>
      <c r="AJ11" s="300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300" t="s">
        <v>32</v>
      </c>
      <c r="AG12" s="300"/>
      <c r="AH12" s="300"/>
      <c r="AI12" s="300"/>
      <c r="AJ12" s="300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300" t="s">
        <v>33</v>
      </c>
      <c r="AG13" s="300"/>
      <c r="AH13" s="300"/>
      <c r="AI13" s="300"/>
      <c r="AJ13" s="300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8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 aca="true" t="shared" si="27" ref="P304:P311">N304-N303</f>
        <v>37196.95429999987</v>
      </c>
      <c r="R304">
        <v>38899678.8911</v>
      </c>
    </row>
    <row r="305" spans="2:18" ht="12.75">
      <c r="B305" s="273">
        <f t="shared" si="14"/>
        <v>2019.083323300013</v>
      </c>
      <c r="C305" s="274">
        <v>43466</v>
      </c>
      <c r="D305" s="276"/>
      <c r="E305" s="276"/>
      <c r="F305" s="276"/>
      <c r="G305" s="276"/>
      <c r="H305" s="276"/>
      <c r="I305" s="276"/>
      <c r="J305" s="276"/>
      <c r="K305" s="276"/>
      <c r="L305" s="276"/>
      <c r="M305" s="276"/>
      <c r="N305" s="271">
        <v>1315946.6183</v>
      </c>
      <c r="O305" s="271">
        <v>1299273.6229</v>
      </c>
      <c r="P305" s="275">
        <f t="shared" si="27"/>
        <v>-96134.35089999996</v>
      </c>
      <c r="R305">
        <f>+R304/31</f>
        <v>1254828.3513258065</v>
      </c>
    </row>
    <row r="306" spans="2:16" ht="12.75">
      <c r="B306" s="273">
        <f t="shared" si="14"/>
        <v>2019.166656600013</v>
      </c>
      <c r="C306" s="274">
        <v>43497</v>
      </c>
      <c r="D306" s="276"/>
      <c r="E306" s="276"/>
      <c r="F306" s="276"/>
      <c r="G306" s="276"/>
      <c r="H306" s="276"/>
      <c r="I306" s="276"/>
      <c r="J306" s="276"/>
      <c r="K306" s="276"/>
      <c r="L306" s="276"/>
      <c r="M306" s="276"/>
      <c r="N306" s="271">
        <v>1264159.3536</v>
      </c>
      <c r="O306" s="271">
        <v>1299273.6229</v>
      </c>
      <c r="P306" s="275">
        <f t="shared" si="27"/>
        <v>-51787.26469999994</v>
      </c>
    </row>
    <row r="307" spans="2:18" ht="12.75">
      <c r="B307" s="273">
        <f t="shared" si="14"/>
        <v>2019.2499899000131</v>
      </c>
      <c r="C307" s="274">
        <v>43525</v>
      </c>
      <c r="D307" s="276"/>
      <c r="E307" s="276"/>
      <c r="F307" s="276"/>
      <c r="G307" s="276"/>
      <c r="H307" s="276"/>
      <c r="I307" s="276"/>
      <c r="J307" s="276"/>
      <c r="K307" s="276"/>
      <c r="L307" s="276"/>
      <c r="M307" s="276"/>
      <c r="N307" s="271">
        <v>1194725.7082</v>
      </c>
      <c r="O307" s="271">
        <v>1299273.6229</v>
      </c>
      <c r="P307" s="275">
        <f t="shared" si="27"/>
        <v>-69433.64540000004</v>
      </c>
      <c r="R307">
        <v>44722640.7731</v>
      </c>
    </row>
    <row r="308" spans="2:18" ht="12.75">
      <c r="B308" s="273">
        <f t="shared" si="14"/>
        <v>2019.3333232000132</v>
      </c>
      <c r="C308" s="274">
        <v>43556</v>
      </c>
      <c r="D308" s="276"/>
      <c r="E308" s="276"/>
      <c r="F308" s="276"/>
      <c r="G308" s="276"/>
      <c r="H308" s="276"/>
      <c r="I308" s="276"/>
      <c r="J308" s="276"/>
      <c r="K308" s="276"/>
      <c r="L308" s="276"/>
      <c r="M308" s="276"/>
      <c r="N308" s="271">
        <v>1119085.7704</v>
      </c>
      <c r="O308" s="271">
        <v>1299273.6229</v>
      </c>
      <c r="P308" s="275">
        <f t="shared" si="27"/>
        <v>-75639.93779999996</v>
      </c>
      <c r="R308">
        <v>30</v>
      </c>
    </row>
    <row r="309" spans="2:16" ht="12.75">
      <c r="B309" s="273">
        <f aca="true" t="shared" si="28" ref="B309:B317">+B308+0.0833333</f>
        <v>2019.4166565000132</v>
      </c>
      <c r="C309" s="274">
        <v>43586</v>
      </c>
      <c r="D309"/>
      <c r="E309" s="20"/>
      <c r="F309" s="20"/>
      <c r="N309" s="271">
        <v>1085771.1066</v>
      </c>
      <c r="O309" s="271">
        <v>1299273.6229</v>
      </c>
      <c r="P309" s="275">
        <f t="shared" si="27"/>
        <v>-33314.66379999998</v>
      </c>
    </row>
    <row r="310" spans="2:16" ht="12.75">
      <c r="B310" s="273">
        <f t="shared" si="28"/>
        <v>2019.4999898000133</v>
      </c>
      <c r="C310" s="274">
        <v>43617</v>
      </c>
      <c r="D310"/>
      <c r="E310" s="20"/>
      <c r="F310" s="20"/>
      <c r="N310" s="271">
        <v>1121341.1848</v>
      </c>
      <c r="O310" s="271">
        <v>1299273.6229</v>
      </c>
      <c r="P310" s="275">
        <f t="shared" si="27"/>
        <v>35570.07819999987</v>
      </c>
    </row>
    <row r="311" spans="2:16" ht="12.75">
      <c r="B311" s="273">
        <f t="shared" si="28"/>
        <v>2019.5833231000133</v>
      </c>
      <c r="C311" s="274">
        <v>43647</v>
      </c>
      <c r="D311"/>
      <c r="E311" s="20"/>
      <c r="F311" s="20"/>
      <c r="N311" s="271">
        <v>1340583.234</v>
      </c>
      <c r="O311" s="271">
        <v>1299273.6229</v>
      </c>
      <c r="P311" s="275">
        <f t="shared" si="27"/>
        <v>219242.0492</v>
      </c>
    </row>
    <row r="312" spans="2:16" ht="12.75">
      <c r="B312" s="273">
        <f t="shared" si="28"/>
        <v>2019.6666564000134</v>
      </c>
      <c r="C312" s="274">
        <v>43678</v>
      </c>
      <c r="D312"/>
      <c r="E312" s="20"/>
      <c r="F312" s="20"/>
      <c r="N312" s="271">
        <v>1509143.8179</v>
      </c>
      <c r="O312" s="271">
        <v>1299273.6229</v>
      </c>
      <c r="P312" s="275">
        <f aca="true" t="shared" si="29" ref="P312:P317">N312-N311</f>
        <v>168560.58389999997</v>
      </c>
    </row>
    <row r="313" spans="2:17" ht="12.75">
      <c r="B313" s="273">
        <f t="shared" si="28"/>
        <v>2019.7499897000134</v>
      </c>
      <c r="C313" s="274">
        <v>43709</v>
      </c>
      <c r="D313"/>
      <c r="E313" s="20"/>
      <c r="F313" s="20"/>
      <c r="N313" s="271">
        <v>1555960.2551</v>
      </c>
      <c r="O313" s="271">
        <v>1299273.6229</v>
      </c>
      <c r="P313" s="275">
        <f t="shared" si="29"/>
        <v>46816.437200000044</v>
      </c>
      <c r="Q313">
        <f>+R307/R308</f>
        <v>1490754.6924366667</v>
      </c>
    </row>
    <row r="314" spans="2:16" ht="12.75">
      <c r="B314" s="273">
        <f t="shared" si="28"/>
        <v>2019.8333230000135</v>
      </c>
      <c r="C314" s="274">
        <v>43739</v>
      </c>
      <c r="D314"/>
      <c r="E314" s="20"/>
      <c r="F314" s="20"/>
      <c r="N314" s="271">
        <v>1419451.6309</v>
      </c>
      <c r="O314" s="271">
        <v>1299273.6229</v>
      </c>
      <c r="P314" s="275">
        <f t="shared" si="29"/>
        <v>-136508.62419999996</v>
      </c>
    </row>
    <row r="315" spans="2:16" ht="12.75">
      <c r="B315" s="273">
        <f t="shared" si="28"/>
        <v>2019.9166563000135</v>
      </c>
      <c r="C315" s="274">
        <v>43770</v>
      </c>
      <c r="D315"/>
      <c r="E315" s="20"/>
      <c r="F315" s="20"/>
      <c r="N315" s="271">
        <v>1418369.9405</v>
      </c>
      <c r="O315" s="271">
        <v>1299273.6229</v>
      </c>
      <c r="P315" s="275">
        <f t="shared" si="29"/>
        <v>-1081.6903999999631</v>
      </c>
    </row>
    <row r="316" spans="2:16" ht="12.75">
      <c r="B316" s="273">
        <f t="shared" si="28"/>
        <v>2019.9999896000136</v>
      </c>
      <c r="C316" s="274">
        <v>43800</v>
      </c>
      <c r="D316"/>
      <c r="E316" s="20"/>
      <c r="F316" s="20"/>
      <c r="N316" s="277">
        <v>1243898</v>
      </c>
      <c r="O316" s="283">
        <v>1299273.6229</v>
      </c>
      <c r="P316" s="275">
        <f t="shared" si="29"/>
        <v>-174471.94050000003</v>
      </c>
    </row>
    <row r="317" spans="2:16" ht="12.75">
      <c r="B317" s="243">
        <f t="shared" si="28"/>
        <v>2020.0833229000136</v>
      </c>
      <c r="C317" s="132">
        <v>43831</v>
      </c>
      <c r="D317"/>
      <c r="E317" s="20"/>
      <c r="F317" s="20"/>
      <c r="N317" s="128">
        <v>1211720.6916</v>
      </c>
      <c r="O317" s="128">
        <v>1142150</v>
      </c>
      <c r="P317" s="282">
        <f t="shared" si="29"/>
        <v>-32177.30839999998</v>
      </c>
    </row>
    <row r="318" spans="2:16" ht="12.75">
      <c r="B318" s="243">
        <f aca="true" t="shared" si="30" ref="B318:B323">+B317+0.0833333</f>
        <v>2020.1666562000137</v>
      </c>
      <c r="C318" s="132">
        <v>43862</v>
      </c>
      <c r="D318"/>
      <c r="E318" s="20"/>
      <c r="F318" s="20"/>
      <c r="N318" s="128">
        <v>1249771.6869</v>
      </c>
      <c r="O318" s="128">
        <v>1142150</v>
      </c>
      <c r="P318" s="282">
        <f aca="true" t="shared" si="31" ref="P318:P323">N318-N317</f>
        <v>38050.99530000007</v>
      </c>
    </row>
    <row r="319" spans="2:16" ht="12.75">
      <c r="B319" s="243">
        <f t="shared" si="30"/>
        <v>2020.2499895000137</v>
      </c>
      <c r="C319" s="132">
        <v>43891</v>
      </c>
      <c r="D319"/>
      <c r="E319" s="20"/>
      <c r="F319" s="20"/>
      <c r="N319" s="128">
        <v>903310.04</v>
      </c>
      <c r="O319" s="128">
        <v>1142150</v>
      </c>
      <c r="P319" s="282">
        <f t="shared" si="31"/>
        <v>-346461.64690000005</v>
      </c>
    </row>
    <row r="320" spans="2:16" ht="12.75">
      <c r="B320" s="243">
        <f t="shared" si="30"/>
        <v>2020.3333228000138</v>
      </c>
      <c r="C320" s="132">
        <v>43922</v>
      </c>
      <c r="D320"/>
      <c r="E320" s="20"/>
      <c r="F320" s="20"/>
      <c r="N320" s="128">
        <v>790178.8298</v>
      </c>
      <c r="O320" s="128">
        <v>1142150</v>
      </c>
      <c r="P320" s="282">
        <f t="shared" si="31"/>
        <v>-113131.21020000009</v>
      </c>
    </row>
    <row r="321" spans="2:16" ht="12.75">
      <c r="B321" s="243">
        <f t="shared" si="30"/>
        <v>2020.4166561000138</v>
      </c>
      <c r="C321" s="132">
        <v>43952</v>
      </c>
      <c r="D321"/>
      <c r="E321" s="20"/>
      <c r="F321" s="20"/>
      <c r="N321" s="128">
        <v>845915.2128</v>
      </c>
      <c r="O321" s="128">
        <v>1142150</v>
      </c>
      <c r="P321" s="282">
        <f t="shared" si="31"/>
        <v>55736.38300000003</v>
      </c>
    </row>
    <row r="322" spans="2:16" ht="12.75">
      <c r="B322" s="243">
        <f t="shared" si="30"/>
        <v>2020.4999894000139</v>
      </c>
      <c r="C322" s="132">
        <v>43983</v>
      </c>
      <c r="D322"/>
      <c r="E322" s="20"/>
      <c r="F322" s="20"/>
      <c r="N322" s="128">
        <v>832774.5008</v>
      </c>
      <c r="O322" s="128">
        <v>1142150</v>
      </c>
      <c r="P322" s="282">
        <f t="shared" si="31"/>
        <v>-13140.711999999941</v>
      </c>
    </row>
    <row r="323" spans="2:16" ht="12.75">
      <c r="B323" s="243">
        <f t="shared" si="30"/>
        <v>2020.583322700014</v>
      </c>
      <c r="C323" s="132">
        <v>44013</v>
      </c>
      <c r="D323"/>
      <c r="E323" s="20"/>
      <c r="F323" s="20"/>
      <c r="N323" s="128">
        <v>1346101.4935</v>
      </c>
      <c r="O323" s="128">
        <v>1142150</v>
      </c>
      <c r="P323" s="282">
        <f t="shared" si="31"/>
        <v>513326.99270000006</v>
      </c>
    </row>
    <row r="324" spans="2:16" ht="12.75">
      <c r="B324" s="243">
        <f>+B323+0.0833333</f>
        <v>2020.666656000014</v>
      </c>
      <c r="C324" s="132">
        <v>44044</v>
      </c>
      <c r="D324"/>
      <c r="E324" s="20"/>
      <c r="F324" s="20"/>
      <c r="N324" s="128">
        <v>1298655.154</v>
      </c>
      <c r="O324" s="128">
        <v>1142150</v>
      </c>
      <c r="P324" s="282">
        <f>N324-N323</f>
        <v>-47446.3395</v>
      </c>
    </row>
    <row r="325" spans="2:16" ht="12.75">
      <c r="B325" s="243">
        <f>+B324+0.0833333</f>
        <v>2020.749989300014</v>
      </c>
      <c r="C325" s="132">
        <v>44075</v>
      </c>
      <c r="D325"/>
      <c r="E325" s="20"/>
      <c r="F325" s="20"/>
      <c r="N325" s="128">
        <v>1342976.2357</v>
      </c>
      <c r="O325" s="128">
        <v>1142150</v>
      </c>
      <c r="P325" s="282">
        <f>N325-N324</f>
        <v>44321.08169999998</v>
      </c>
    </row>
    <row r="326" spans="2:16" ht="12.75">
      <c r="B326" s="243">
        <f>+B325+0.0833333</f>
        <v>2020.833322600014</v>
      </c>
      <c r="C326" s="132">
        <v>44105</v>
      </c>
      <c r="D326"/>
      <c r="E326" s="20"/>
      <c r="F326" s="20"/>
      <c r="N326" s="128">
        <v>1254828</v>
      </c>
      <c r="O326" s="128">
        <v>1142150</v>
      </c>
      <c r="P326" s="282">
        <f>N326-N325</f>
        <v>-88148.23570000008</v>
      </c>
    </row>
    <row r="327" spans="2:16" ht="12.75">
      <c r="B327" s="243">
        <f>+B326+0.0833333</f>
        <v>2020.9166559000141</v>
      </c>
      <c r="C327" s="132">
        <v>44136</v>
      </c>
      <c r="D327"/>
      <c r="E327" s="20"/>
      <c r="F327" s="20"/>
      <c r="N327" s="128">
        <v>1490754</v>
      </c>
      <c r="O327" s="128">
        <v>1142150</v>
      </c>
      <c r="P327" s="282">
        <f>N327-N326</f>
        <v>235926</v>
      </c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0" zoomScaleNormal="90" zoomScalePageLayoutView="0" workbookViewId="0" topLeftCell="A1">
      <selection activeCell="O79" sqref="O79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4.4218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305" t="s">
        <v>68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231"/>
    </row>
    <row r="3" spans="1:13" ht="15.75" customHeight="1">
      <c r="A3" s="232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57" customHeight="1">
      <c r="C34" s="306" t="s">
        <v>67</v>
      </c>
      <c r="D34" s="306"/>
      <c r="E34" s="306"/>
      <c r="F34" s="306"/>
      <c r="G34" s="306"/>
      <c r="H34" s="306"/>
      <c r="I34" s="306"/>
      <c r="J34" s="306"/>
      <c r="K34" s="306"/>
      <c r="L34" s="306"/>
      <c r="M34" s="306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301" t="s">
        <v>69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</row>
    <row r="80" ht="9" customHeight="1"/>
    <row r="81" spans="13:15" ht="44.25" customHeight="1">
      <c r="M81" s="239"/>
      <c r="O81" s="240"/>
    </row>
    <row r="82" spans="2:15" ht="46.5" customHeight="1">
      <c r="B82" s="303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239"/>
      <c r="O82" s="240"/>
    </row>
    <row r="83" spans="1:13" ht="4.5" customHeight="1">
      <c r="A83" s="235"/>
      <c r="B83" s="302" t="s">
        <v>57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C79:M79"/>
    <mergeCell ref="B83:L83"/>
    <mergeCell ref="B82:L82"/>
    <mergeCell ref="B2:M3"/>
    <mergeCell ref="C34:M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72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TEMP_DGH117</cp:lastModifiedBy>
  <cp:lastPrinted>2020-06-03T04:33:25Z</cp:lastPrinted>
  <dcterms:created xsi:type="dcterms:W3CDTF">1997-07-01T22:48:52Z</dcterms:created>
  <dcterms:modified xsi:type="dcterms:W3CDTF">2020-12-07T22:02:48Z</dcterms:modified>
  <cp:category/>
  <cp:version/>
  <cp:contentType/>
  <cp:contentStatus/>
</cp:coreProperties>
</file>